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40" yWindow="1600" windowWidth="19000" windowHeight="79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'Ark1'!$A$1:$N$56</definedName>
  </definedNames>
  <calcPr fullCalcOnLoad="1"/>
</workbook>
</file>

<file path=xl/sharedStrings.xml><?xml version="1.0" encoding="utf-8"?>
<sst xmlns="http://schemas.openxmlformats.org/spreadsheetml/2006/main" count="111" uniqueCount="90">
  <si>
    <t>Karakter</t>
  </si>
  <si>
    <t>Pkt.</t>
  </si>
  <si>
    <t>Bygningsafsnit</t>
  </si>
  <si>
    <t>1-9</t>
  </si>
  <si>
    <t>5.1</t>
  </si>
  <si>
    <t>Fundamenter og kælder</t>
  </si>
  <si>
    <t>5.2</t>
  </si>
  <si>
    <t>Klimaskærm</t>
  </si>
  <si>
    <t>5.2.2</t>
  </si>
  <si>
    <t>5.3</t>
  </si>
  <si>
    <t>Øvrige primære bygningsdele</t>
  </si>
  <si>
    <t>5.5</t>
  </si>
  <si>
    <t>Tekniske installationer</t>
  </si>
  <si>
    <t>-</t>
  </si>
  <si>
    <t>5.5.9</t>
  </si>
  <si>
    <t>5.7</t>
  </si>
  <si>
    <t>Øvrige vedligeholdelsesudgifter</t>
  </si>
  <si>
    <t>Udgifter</t>
  </si>
  <si>
    <t>5.8</t>
  </si>
  <si>
    <t>5.9</t>
  </si>
  <si>
    <t>Moms, 25 %</t>
  </si>
  <si>
    <t>Samlede omkostninger i alt inkl. moms</t>
  </si>
  <si>
    <t>5.5.5</t>
  </si>
  <si>
    <t xml:space="preserve">Rev. </t>
  </si>
  <si>
    <t>5.6</t>
  </si>
  <si>
    <t>Fællesarealer</t>
  </si>
  <si>
    <t>Uforudseelige udgifter, 10 %</t>
  </si>
  <si>
    <t>10-års sum</t>
  </si>
  <si>
    <t>5.6.2</t>
  </si>
  <si>
    <t>5.2.1</t>
  </si>
  <si>
    <t>2</t>
  </si>
  <si>
    <t>5.4</t>
  </si>
  <si>
    <t>Arbejderne foreslås udført i den rækkefølge der er angivet ovenfor. De samlede omkostninger er inklusiv moms, inklusiv rådighedsbeløb til uforudselig udgifter, inklusiv eventuelle udgifter til byggeplads og inklusiv beløb til eventuel teknisk rådgivning.</t>
  </si>
  <si>
    <t>5.1.2</t>
  </si>
  <si>
    <t>5</t>
  </si>
  <si>
    <t>5.1.3</t>
  </si>
  <si>
    <t>5.5.2.2</t>
  </si>
  <si>
    <t>Istandsættelse af udvendige kældertrapper</t>
  </si>
  <si>
    <t>Ejerforeningen Bellavista</t>
  </si>
  <si>
    <t>Klampenborg</t>
  </si>
  <si>
    <t>Relining af ca. 36 faldstammer samt ca 20 gulvafløb</t>
  </si>
  <si>
    <t>Etablering af faldsikring på tage over 2. og 3. sal</t>
  </si>
  <si>
    <t>1</t>
  </si>
  <si>
    <t>Udskiftning af rør for brugsvand kælder til 2. sal</t>
  </si>
  <si>
    <t>Etablering af ny membran og fliser over garager</t>
  </si>
  <si>
    <t>Brandsikring af vaskerum samt lukning af huller fællesomr.</t>
  </si>
  <si>
    <t>Istandsættelse af kældergulve nord og sydfløj epoxy</t>
  </si>
  <si>
    <t>Konvertering fra Naturgas til fjernvarme og ny varmtvandsbeholder</t>
  </si>
  <si>
    <t xml:space="preserve">Istandsættelse af revner i betonfundament hegn mod vest </t>
  </si>
  <si>
    <t>Istandsættelse af revner i betontrapper , støttemure mv.</t>
  </si>
  <si>
    <t>6</t>
  </si>
  <si>
    <t xml:space="preserve">Epoxy belægning af kældergulve fællesarealer nord- og sydfløje </t>
  </si>
  <si>
    <t>Inspektion, vedligehold og udskiftning af tagpap på taget</t>
  </si>
  <si>
    <t>8</t>
  </si>
  <si>
    <t>TV-inspektion af kloak samt vedligehold af kloak skøn</t>
  </si>
  <si>
    <t>Tømre reparation af råd i pergolaer forudsat samlet med rustfri skruer</t>
  </si>
  <si>
    <t>Maling af facade, vinduer og tagrenser forudsat anv. af tømres stillads</t>
  </si>
  <si>
    <t>4</t>
  </si>
  <si>
    <t>Udbedring af mindre skader på overfladebelægning af altaner</t>
  </si>
  <si>
    <t>5.3.5</t>
  </si>
  <si>
    <t>Etablering af 4 brandarms erstatninger, branddør til vaskeri, 1 dørpumpe</t>
  </si>
  <si>
    <t>Frivilligt ABA anlæg i kælderområder og øverst i 11 opgange</t>
  </si>
  <si>
    <t>5.5.3</t>
  </si>
  <si>
    <t>5.5.6</t>
  </si>
  <si>
    <t>Ladestandere og opgradering af gamle eltavler i kælder</t>
  </si>
  <si>
    <t>Galvafroid på Veturihætter</t>
  </si>
  <si>
    <t>Lejligheder</t>
  </si>
  <si>
    <t>Udbedring af rækværker på 21 små altaner mod vest</t>
  </si>
  <si>
    <t>Sag nr. 10350</t>
  </si>
  <si>
    <t xml:space="preserve"> 02.01.2023</t>
  </si>
  <si>
    <t>Overskud drift til vedligehold</t>
  </si>
  <si>
    <t>Nettofinansieringsbehov i alt inkl. moms</t>
  </si>
  <si>
    <t>6.0</t>
  </si>
  <si>
    <t>6.1</t>
  </si>
  <si>
    <t>6.2</t>
  </si>
  <si>
    <t>Etablering af brusekabine i kælder til bl.a. entreprenører</t>
  </si>
  <si>
    <t>Skønnet behov for udbedring af kloak</t>
  </si>
  <si>
    <t>Løbende forbrug til akutte uplanlagte udbedringer</t>
  </si>
  <si>
    <t>År 2023-27</t>
  </si>
  <si>
    <t>År 2028-32</t>
  </si>
  <si>
    <t>Kontrolsummer linje 6.2 nettofinansiering</t>
  </si>
  <si>
    <t>Kontrolsummer linje 6.0 nettofinansiering</t>
  </si>
  <si>
    <t>Andel af rådgivning er flyttet for opdelt arbejde for</t>
  </si>
  <si>
    <t>Kontrolsummer linje 6.0 samlede omkostninger</t>
  </si>
  <si>
    <t>Ovenfor er der opstillet en samlet oversigt over de foreslåede arbejder. Alle priser er i faste priser index januar 2023.</t>
  </si>
  <si>
    <t>Teknisk rådgivning, 15 %+ skøn 25.000 kr/år til div. rådgivning</t>
  </si>
  <si>
    <t>Bellevuevej 1-7 og Strandvejen 419-433</t>
  </si>
  <si>
    <t>Rev. H 17.03.2023</t>
  </si>
  <si>
    <t>Byggeplads, 2 %</t>
  </si>
  <si>
    <t>pergolaer og vandrør til år for 1. udførelse hvor projekteringe udføres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</si>
</sst>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&quot;kr&quot;\ * #,##0.00_);_(&quot;kr&quot;\ * \(#,##0.00\);_(&quot;kr&quot;\ * &quot;-&quot;??_);_(@_)"/>
    <numFmt numFmtId="188" formatCode="d\.\ mmmm\ yyyy"/>
    <numFmt numFmtId="189" formatCode="[$-406]d\.\ mmmm\ yyyy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6" fontId="1" fillId="0" borderId="2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 quotePrefix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3" fontId="1" fillId="0" borderId="17" xfId="0" applyNumberFormat="1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 quotePrefix="1">
      <alignment horizontal="center"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31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 quotePrefix="1">
      <alignment horizontal="center"/>
    </xf>
    <xf numFmtId="3" fontId="1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342900</xdr:colOff>
      <xdr:row>4</xdr:row>
      <xdr:rowOff>28575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r="915"/>
        <a:stretch>
          <a:fillRect/>
        </a:stretch>
      </xdr:blipFill>
      <xdr:spPr>
        <a:xfrm>
          <a:off x="8286750" y="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115" zoomScaleNormal="115" zoomScalePageLayoutView="0" workbookViewId="0" topLeftCell="A1">
      <selection activeCell="D32" sqref="D32"/>
    </sheetView>
  </sheetViews>
  <sheetFormatPr defaultColWidth="11.421875" defaultRowHeight="12.75"/>
  <cols>
    <col min="1" max="1" width="9.421875" style="0" customWidth="1"/>
    <col min="2" max="2" width="54.421875" style="0" customWidth="1"/>
    <col min="3" max="3" width="8.8515625" style="0" customWidth="1"/>
    <col min="4" max="4" width="17.7109375" style="0" customWidth="1"/>
    <col min="5" max="5" width="16.7109375" style="0" customWidth="1"/>
    <col min="6" max="6" width="17.140625" style="0" customWidth="1"/>
    <col min="7" max="12" width="17.7109375" style="0" customWidth="1"/>
    <col min="13" max="13" width="16.7109375" style="0" customWidth="1"/>
    <col min="14" max="14" width="17.7109375" style="0" customWidth="1"/>
    <col min="15" max="17" width="8.8515625" style="0" customWidth="1"/>
    <col min="18" max="18" width="10.140625" style="0" bestFit="1" customWidth="1"/>
    <col min="19" max="16384" width="8.8515625" style="0" customWidth="1"/>
  </cols>
  <sheetData>
    <row r="1" spans="1:14" ht="12" customHeight="1">
      <c r="A1" s="1"/>
      <c r="B1" s="2" t="s">
        <v>38</v>
      </c>
      <c r="C1" s="1"/>
      <c r="D1" s="81"/>
      <c r="E1" s="1"/>
      <c r="F1" s="1"/>
      <c r="G1" s="1"/>
      <c r="H1" s="1"/>
      <c r="I1" s="1"/>
      <c r="J1" s="1"/>
      <c r="K1" s="1"/>
      <c r="L1" s="1"/>
      <c r="M1" s="90"/>
      <c r="N1" s="91"/>
    </row>
    <row r="2" spans="1:14" ht="12" customHeight="1">
      <c r="A2" s="1"/>
      <c r="B2" s="78" t="s">
        <v>86</v>
      </c>
      <c r="C2" s="1"/>
      <c r="D2" s="79" t="s">
        <v>69</v>
      </c>
      <c r="E2" s="79" t="s">
        <v>87</v>
      </c>
      <c r="G2" s="29"/>
      <c r="H2" s="29"/>
      <c r="I2" s="29"/>
      <c r="J2" s="29"/>
      <c r="K2" s="29"/>
      <c r="L2" s="29"/>
      <c r="M2" s="90" t="s">
        <v>68</v>
      </c>
      <c r="N2" s="91"/>
    </row>
    <row r="3" spans="1:14" ht="12" customHeight="1">
      <c r="A3" s="1"/>
      <c r="B3" s="78" t="s">
        <v>39</v>
      </c>
      <c r="C3" s="1"/>
      <c r="D3" s="1"/>
      <c r="E3" s="1"/>
      <c r="F3" s="89"/>
      <c r="G3" s="1"/>
      <c r="H3" s="1"/>
      <c r="I3" s="1"/>
      <c r="J3" s="1"/>
      <c r="K3" s="1"/>
      <c r="L3" s="1"/>
      <c r="M3" s="1"/>
      <c r="N3" s="1" t="s">
        <v>23</v>
      </c>
    </row>
    <row r="4" spans="1:14" ht="12" customHeight="1">
      <c r="A4" s="1"/>
      <c r="B4" s="2"/>
      <c r="C4" s="30" t="s">
        <v>0</v>
      </c>
      <c r="D4" s="30" t="s">
        <v>17</v>
      </c>
      <c r="E4" s="2"/>
      <c r="F4" s="2"/>
      <c r="G4" s="2"/>
      <c r="H4" s="2"/>
      <c r="I4" s="2"/>
      <c r="J4" s="2"/>
      <c r="K4" s="2"/>
      <c r="N4" s="2"/>
    </row>
    <row r="5" spans="1:14" s="20" customFormat="1" ht="12" customHeight="1" thickBot="1">
      <c r="A5" s="2" t="s">
        <v>1</v>
      </c>
      <c r="B5" s="24" t="s">
        <v>2</v>
      </c>
      <c r="C5" s="31" t="s">
        <v>3</v>
      </c>
      <c r="D5" s="32">
        <v>2023</v>
      </c>
      <c r="E5" s="32">
        <v>2024</v>
      </c>
      <c r="F5" s="32">
        <v>2025</v>
      </c>
      <c r="G5" s="32">
        <v>2026</v>
      </c>
      <c r="H5" s="32">
        <v>2027</v>
      </c>
      <c r="I5" s="32">
        <v>2028</v>
      </c>
      <c r="J5" s="32">
        <v>2029</v>
      </c>
      <c r="K5" s="32">
        <v>2030</v>
      </c>
      <c r="L5" s="32">
        <v>2031</v>
      </c>
      <c r="M5" s="32">
        <v>2032</v>
      </c>
      <c r="N5" s="32" t="s">
        <v>27</v>
      </c>
    </row>
    <row r="6" spans="1:14" s="20" customFormat="1" ht="12" customHeight="1" thickBot="1">
      <c r="A6" s="8" t="s">
        <v>4</v>
      </c>
      <c r="B6" s="9" t="s">
        <v>5</v>
      </c>
      <c r="C6" s="10"/>
      <c r="D6" s="11">
        <f aca="true" t="shared" si="0" ref="D6:M6">SUM(D7:D10)</f>
        <v>0</v>
      </c>
      <c r="E6" s="11">
        <f t="shared" si="0"/>
        <v>0</v>
      </c>
      <c r="F6" s="11">
        <f t="shared" si="0"/>
        <v>40000</v>
      </c>
      <c r="G6" s="11">
        <f t="shared" si="0"/>
        <v>0</v>
      </c>
      <c r="H6" s="11">
        <f t="shared" si="0"/>
        <v>0</v>
      </c>
      <c r="I6" s="11">
        <f t="shared" si="0"/>
        <v>150000</v>
      </c>
      <c r="J6" s="11">
        <f t="shared" si="0"/>
        <v>0</v>
      </c>
      <c r="K6" s="11">
        <f t="shared" si="0"/>
        <v>115000</v>
      </c>
      <c r="L6" s="11">
        <f t="shared" si="0"/>
        <v>75000</v>
      </c>
      <c r="M6" s="11">
        <f t="shared" si="0"/>
        <v>145000</v>
      </c>
      <c r="N6" s="12">
        <f>SUM(D6:M6)</f>
        <v>525000</v>
      </c>
    </row>
    <row r="7" spans="1:14" s="20" customFormat="1" ht="12" customHeight="1">
      <c r="A7" s="13" t="s">
        <v>33</v>
      </c>
      <c r="B7" s="5" t="s">
        <v>51</v>
      </c>
      <c r="C7" s="33" t="s">
        <v>42</v>
      </c>
      <c r="D7" s="6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>115000</f>
        <v>115000</v>
      </c>
      <c r="L7" s="6">
        <v>0</v>
      </c>
      <c r="M7" s="43">
        <v>145000</v>
      </c>
      <c r="N7" s="14">
        <f>SUM(D7:M7)</f>
        <v>260000</v>
      </c>
    </row>
    <row r="8" spans="1:14" s="20" customFormat="1" ht="12" customHeight="1">
      <c r="A8" s="13"/>
      <c r="B8" s="5" t="s">
        <v>48</v>
      </c>
      <c r="C8" s="33" t="s">
        <v>50</v>
      </c>
      <c r="D8" s="6"/>
      <c r="E8" s="6"/>
      <c r="G8" s="6"/>
      <c r="H8" s="6"/>
      <c r="J8" s="6"/>
      <c r="K8" s="6"/>
      <c r="L8" s="6">
        <v>35000</v>
      </c>
      <c r="M8" s="6"/>
      <c r="N8" s="14">
        <f aca="true" t="shared" si="1" ref="N8:N17">SUM(D8:M8)</f>
        <v>35000</v>
      </c>
    </row>
    <row r="9" spans="1:14" s="20" customFormat="1" ht="12" customHeight="1">
      <c r="A9" s="13" t="s">
        <v>33</v>
      </c>
      <c r="B9" s="5" t="s">
        <v>46</v>
      </c>
      <c r="C9" s="33" t="s">
        <v>34</v>
      </c>
      <c r="D9" s="6">
        <v>0</v>
      </c>
      <c r="E9" s="6">
        <v>0</v>
      </c>
      <c r="F9" s="6"/>
      <c r="G9" s="6">
        <v>0</v>
      </c>
      <c r="I9" s="43">
        <v>150000</v>
      </c>
      <c r="J9" s="6">
        <v>0</v>
      </c>
      <c r="K9" s="6">
        <v>0</v>
      </c>
      <c r="L9" s="6">
        <v>0</v>
      </c>
      <c r="M9" s="6">
        <v>0</v>
      </c>
      <c r="N9" s="14">
        <f t="shared" si="1"/>
        <v>150000</v>
      </c>
    </row>
    <row r="10" spans="1:14" s="20" customFormat="1" ht="12" customHeight="1" thickBot="1">
      <c r="A10" s="13" t="s">
        <v>35</v>
      </c>
      <c r="B10" s="5" t="s">
        <v>49</v>
      </c>
      <c r="C10" s="33" t="s">
        <v>34</v>
      </c>
      <c r="D10" s="6">
        <v>0</v>
      </c>
      <c r="E10" s="6">
        <v>0</v>
      </c>
      <c r="F10" s="6">
        <v>40000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40000</v>
      </c>
      <c r="M10" s="6">
        <v>0</v>
      </c>
      <c r="N10" s="14">
        <f t="shared" si="1"/>
        <v>80000</v>
      </c>
    </row>
    <row r="11" spans="1:14" s="20" customFormat="1" ht="12" customHeight="1" thickBot="1">
      <c r="A11" s="8" t="s">
        <v>6</v>
      </c>
      <c r="B11" s="9" t="s">
        <v>7</v>
      </c>
      <c r="C11" s="9"/>
      <c r="D11" s="11">
        <f aca="true" t="shared" si="2" ref="D11:L11">SUM(D12:D18)</f>
        <v>385000</v>
      </c>
      <c r="E11" s="11">
        <f>SUM(E12:E18)</f>
        <v>1437840</v>
      </c>
      <c r="F11" s="11">
        <f t="shared" si="2"/>
        <v>0</v>
      </c>
      <c r="G11" s="11">
        <f t="shared" si="2"/>
        <v>696550</v>
      </c>
      <c r="H11" s="11">
        <f t="shared" si="2"/>
        <v>317000</v>
      </c>
      <c r="I11" s="11">
        <f>SUM(I12:I18)</f>
        <v>1287400</v>
      </c>
      <c r="J11" s="11">
        <f t="shared" si="2"/>
        <v>0</v>
      </c>
      <c r="K11" s="11">
        <f t="shared" si="2"/>
        <v>2000</v>
      </c>
      <c r="L11" s="11">
        <f t="shared" si="2"/>
        <v>420100</v>
      </c>
      <c r="M11" s="11">
        <f>SUM(M12:M18)</f>
        <v>697240</v>
      </c>
      <c r="N11" s="12">
        <f t="shared" si="1"/>
        <v>5243130</v>
      </c>
    </row>
    <row r="12" spans="1:14" s="20" customFormat="1" ht="12" customHeight="1">
      <c r="A12" s="36" t="s">
        <v>29</v>
      </c>
      <c r="B12" s="37" t="s">
        <v>41</v>
      </c>
      <c r="C12" s="51" t="s">
        <v>30</v>
      </c>
      <c r="E12" s="39">
        <v>140000</v>
      </c>
      <c r="F12" s="39">
        <v>0</v>
      </c>
      <c r="G12" s="39"/>
      <c r="H12" s="39"/>
      <c r="I12" s="39"/>
      <c r="J12" s="39">
        <v>0</v>
      </c>
      <c r="K12" s="39"/>
      <c r="L12" s="39">
        <v>0</v>
      </c>
      <c r="M12" s="39"/>
      <c r="N12" s="40">
        <f>SUM(E12:M12)</f>
        <v>140000</v>
      </c>
    </row>
    <row r="13" spans="1:14" s="20" customFormat="1" ht="12" customHeight="1">
      <c r="A13" s="36" t="s">
        <v>29</v>
      </c>
      <c r="B13" s="37" t="s">
        <v>52</v>
      </c>
      <c r="C13" s="51" t="s">
        <v>42</v>
      </c>
      <c r="E13" s="39">
        <v>2000</v>
      </c>
      <c r="F13" s="39">
        <v>0</v>
      </c>
      <c r="G13" s="39">
        <v>0</v>
      </c>
      <c r="H13" s="39">
        <v>2000</v>
      </c>
      <c r="I13" s="39">
        <v>0</v>
      </c>
      <c r="J13" s="39">
        <v>0</v>
      </c>
      <c r="K13" s="39">
        <v>2000</v>
      </c>
      <c r="L13" s="39">
        <v>0</v>
      </c>
      <c r="M13" s="39">
        <v>295000</v>
      </c>
      <c r="N13" s="40">
        <f t="shared" si="1"/>
        <v>301000</v>
      </c>
    </row>
    <row r="14" spans="1:14" s="20" customFormat="1" ht="12" customHeight="1">
      <c r="A14" s="36" t="s">
        <v>8</v>
      </c>
      <c r="B14" s="37" t="s">
        <v>55</v>
      </c>
      <c r="C14" s="51" t="s">
        <v>53</v>
      </c>
      <c r="D14" s="39">
        <v>60000</v>
      </c>
      <c r="E14" s="39">
        <f>400000-60000</f>
        <v>340000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0">
        <f t="shared" si="1"/>
        <v>400000</v>
      </c>
    </row>
    <row r="15" spans="1:14" s="20" customFormat="1" ht="12" customHeight="1">
      <c r="A15" s="36" t="s">
        <v>8</v>
      </c>
      <c r="B15" s="37" t="s">
        <v>56</v>
      </c>
      <c r="C15" s="51" t="s">
        <v>57</v>
      </c>
      <c r="D15" s="39">
        <v>310000</v>
      </c>
      <c r="E15" s="39">
        <f>747240+640350-121750-D15</f>
        <v>955840</v>
      </c>
      <c r="F15" s="82"/>
      <c r="G15" s="39">
        <f>707400-160850+150000</f>
        <v>696550</v>
      </c>
      <c r="H15" s="39"/>
      <c r="I15" s="39">
        <v>437400</v>
      </c>
      <c r="J15" s="39"/>
      <c r="K15" s="39"/>
      <c r="L15" s="39">
        <v>420100</v>
      </c>
      <c r="M15" s="39">
        <f>571190-150000-18950</f>
        <v>402240</v>
      </c>
      <c r="N15" s="40">
        <f>SUM(D15:M15)</f>
        <v>3222130</v>
      </c>
    </row>
    <row r="16" spans="1:14" s="20" customFormat="1" ht="12" customHeight="1">
      <c r="A16" s="36" t="s">
        <v>8</v>
      </c>
      <c r="B16" s="37" t="s">
        <v>67</v>
      </c>
      <c r="C16" s="51" t="s">
        <v>50</v>
      </c>
      <c r="D16" s="39"/>
      <c r="E16" s="39"/>
      <c r="F16" s="39"/>
      <c r="G16" s="39"/>
      <c r="H16" s="39">
        <f>21*15000</f>
        <v>315000</v>
      </c>
      <c r="I16" s="39"/>
      <c r="J16" s="39"/>
      <c r="K16" s="39"/>
      <c r="L16" s="39"/>
      <c r="M16" s="39"/>
      <c r="N16" s="40">
        <f t="shared" si="1"/>
        <v>315000</v>
      </c>
    </row>
    <row r="17" spans="1:14" s="20" customFormat="1" ht="12" customHeight="1">
      <c r="A17" s="36" t="s">
        <v>8</v>
      </c>
      <c r="B17" s="37" t="s">
        <v>58</v>
      </c>
      <c r="C17" s="51" t="s">
        <v>30</v>
      </c>
      <c r="D17" s="39">
        <v>15000</v>
      </c>
      <c r="E17" s="39"/>
      <c r="F17" s="39"/>
      <c r="G17" s="39"/>
      <c r="H17" s="39"/>
      <c r="I17" s="39"/>
      <c r="J17" s="39"/>
      <c r="K17" s="39"/>
      <c r="L17" s="39"/>
      <c r="M17" s="39"/>
      <c r="N17" s="40">
        <f t="shared" si="1"/>
        <v>15000</v>
      </c>
    </row>
    <row r="18" spans="1:14" s="20" customFormat="1" ht="12" customHeight="1" thickBot="1">
      <c r="A18" s="44" t="s">
        <v>8</v>
      </c>
      <c r="B18" s="41" t="s">
        <v>44</v>
      </c>
      <c r="C18" s="42">
        <v>2</v>
      </c>
      <c r="D18" s="43"/>
      <c r="F18" s="43"/>
      <c r="G18" s="43">
        <v>0</v>
      </c>
      <c r="H18" s="43">
        <v>0</v>
      </c>
      <c r="I18" s="43">
        <v>850000</v>
      </c>
      <c r="J18" s="43">
        <v>0</v>
      </c>
      <c r="K18" s="43">
        <v>0</v>
      </c>
      <c r="L18" s="43">
        <v>0</v>
      </c>
      <c r="M18" s="43">
        <v>0</v>
      </c>
      <c r="N18" s="45">
        <f>SUM(F18:M18)</f>
        <v>850000</v>
      </c>
    </row>
    <row r="19" spans="1:14" s="20" customFormat="1" ht="12" customHeight="1" thickBot="1">
      <c r="A19" s="8" t="s">
        <v>9</v>
      </c>
      <c r="B19" s="9" t="s">
        <v>10</v>
      </c>
      <c r="C19" s="10"/>
      <c r="D19" s="11">
        <f aca="true" t="shared" si="3" ref="D19:M19">SUM(D20:D23)</f>
        <v>25000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>SUM(H20:H23)</f>
        <v>180000</v>
      </c>
      <c r="I19" s="11">
        <f t="shared" si="3"/>
        <v>0</v>
      </c>
      <c r="J19" s="11">
        <f t="shared" si="3"/>
        <v>113850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2">
        <f aca="true" t="shared" si="4" ref="N19:N26">SUM(D19:M19)</f>
        <v>318850</v>
      </c>
    </row>
    <row r="20" spans="1:14" s="20" customFormat="1" ht="12" customHeight="1">
      <c r="A20" s="13" t="s">
        <v>59</v>
      </c>
      <c r="B20" s="41" t="s">
        <v>60</v>
      </c>
      <c r="C20" s="83">
        <v>7</v>
      </c>
      <c r="D20" s="43">
        <f>8000+2000</f>
        <v>10000</v>
      </c>
      <c r="E20" s="82">
        <v>0</v>
      </c>
      <c r="F20" s="43">
        <v>0</v>
      </c>
      <c r="G20" s="43">
        <v>0</v>
      </c>
      <c r="H20" s="43">
        <f>4*(45000)</f>
        <v>180000</v>
      </c>
      <c r="I20" s="43">
        <v>0</v>
      </c>
      <c r="J20" s="6">
        <v>0</v>
      </c>
      <c r="K20" s="6"/>
      <c r="L20" s="6">
        <v>0</v>
      </c>
      <c r="M20" s="6">
        <v>0</v>
      </c>
      <c r="N20" s="14">
        <f t="shared" si="4"/>
        <v>190000</v>
      </c>
    </row>
    <row r="21" spans="1:14" s="20" customFormat="1" ht="12" customHeight="1">
      <c r="A21" s="13" t="s">
        <v>59</v>
      </c>
      <c r="B21" s="41" t="s">
        <v>61</v>
      </c>
      <c r="C21" s="83">
        <v>7</v>
      </c>
      <c r="D21" s="43"/>
      <c r="E21" s="43"/>
      <c r="F21" s="43"/>
      <c r="G21" s="82"/>
      <c r="H21" s="43"/>
      <c r="I21" s="43"/>
      <c r="J21" s="6">
        <f>45000+((11+6)*2700*1.5)</f>
        <v>113850</v>
      </c>
      <c r="K21" s="6"/>
      <c r="L21" s="6"/>
      <c r="M21" s="6"/>
      <c r="N21" s="14">
        <f t="shared" si="4"/>
        <v>113850</v>
      </c>
    </row>
    <row r="22" spans="1:14" s="20" customFormat="1" ht="12" customHeight="1">
      <c r="A22" s="13"/>
      <c r="B22" s="41" t="s">
        <v>75</v>
      </c>
      <c r="C22" s="83">
        <v>9</v>
      </c>
      <c r="D22" s="43">
        <v>15000</v>
      </c>
      <c r="E22" s="43"/>
      <c r="F22" s="43"/>
      <c r="G22" s="43"/>
      <c r="H22" s="43"/>
      <c r="I22" s="43">
        <v>0</v>
      </c>
      <c r="J22" s="6">
        <v>0</v>
      </c>
      <c r="K22" s="6">
        <v>0</v>
      </c>
      <c r="L22" s="6">
        <v>0</v>
      </c>
      <c r="M22" s="6">
        <v>0</v>
      </c>
      <c r="N22" s="14">
        <f t="shared" si="4"/>
        <v>15000</v>
      </c>
    </row>
    <row r="23" spans="1:14" s="20" customFormat="1" ht="12" customHeight="1" thickBot="1">
      <c r="A23" s="46"/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>
        <f t="shared" si="4"/>
        <v>0</v>
      </c>
    </row>
    <row r="24" spans="1:14" s="20" customFormat="1" ht="12" customHeight="1" thickBot="1">
      <c r="A24" s="56" t="s">
        <v>31</v>
      </c>
      <c r="B24" s="57" t="s">
        <v>66</v>
      </c>
      <c r="C24" s="58"/>
      <c r="D24" s="59">
        <f>SUM(D25)</f>
        <v>0</v>
      </c>
      <c r="E24" s="59">
        <f>SUM(E25)</f>
        <v>0</v>
      </c>
      <c r="F24" s="59">
        <f>SUM(F25)</f>
        <v>0</v>
      </c>
      <c r="G24" s="59">
        <f>SUM(G25)</f>
        <v>0</v>
      </c>
      <c r="H24" s="59">
        <f>SUM(H25)</f>
        <v>0</v>
      </c>
      <c r="I24" s="59">
        <f>SUM(I25)</f>
        <v>0</v>
      </c>
      <c r="J24" s="59">
        <f>SUM(J25)</f>
        <v>0</v>
      </c>
      <c r="K24" s="59">
        <f>SUM(K25)</f>
        <v>0</v>
      </c>
      <c r="L24" s="59">
        <f>SUM(L25)</f>
        <v>0</v>
      </c>
      <c r="M24" s="59">
        <f>SUM(M25)</f>
        <v>0</v>
      </c>
      <c r="N24" s="60">
        <f t="shared" si="4"/>
        <v>0</v>
      </c>
    </row>
    <row r="25" spans="1:14" s="20" customFormat="1" ht="12" customHeight="1" thickBot="1">
      <c r="A25" s="52"/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1">
        <f t="shared" si="4"/>
        <v>0</v>
      </c>
    </row>
    <row r="26" spans="1:14" s="20" customFormat="1" ht="12" customHeight="1" thickBot="1">
      <c r="A26" s="8" t="s">
        <v>11</v>
      </c>
      <c r="B26" s="9" t="s">
        <v>12</v>
      </c>
      <c r="C26" s="10"/>
      <c r="D26" s="11">
        <f>SUM(D28:D33)</f>
        <v>481000</v>
      </c>
      <c r="E26" s="11">
        <f aca="true" t="shared" si="5" ref="E26:M26">SUM(E28:E33)</f>
        <v>110000</v>
      </c>
      <c r="F26" s="11">
        <f t="shared" si="5"/>
        <v>0</v>
      </c>
      <c r="G26" s="11">
        <f t="shared" si="5"/>
        <v>618850</v>
      </c>
      <c r="H26" s="11">
        <f t="shared" si="5"/>
        <v>1559846</v>
      </c>
      <c r="I26" s="11">
        <f t="shared" si="5"/>
        <v>3079692</v>
      </c>
      <c r="J26" s="11">
        <f t="shared" si="5"/>
        <v>0</v>
      </c>
      <c r="K26" s="11">
        <f t="shared" si="5"/>
        <v>20000</v>
      </c>
      <c r="L26" s="11">
        <f t="shared" si="5"/>
        <v>0</v>
      </c>
      <c r="M26" s="11">
        <f t="shared" si="5"/>
        <v>0</v>
      </c>
      <c r="N26" s="12">
        <f t="shared" si="4"/>
        <v>5869388</v>
      </c>
    </row>
    <row r="27" spans="1:14" s="20" customFormat="1" ht="12" customHeight="1">
      <c r="A27" s="71"/>
      <c r="B27" s="7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4" s="21" customFormat="1" ht="12" customHeight="1">
      <c r="A28" s="25" t="s">
        <v>36</v>
      </c>
      <c r="B28" s="26" t="s">
        <v>40</v>
      </c>
      <c r="C28" s="33" t="s">
        <v>30</v>
      </c>
      <c r="D28" s="27">
        <f>(36*11000)+(20*3500)</f>
        <v>466000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8">
        <f aca="true" t="shared" si="6" ref="N28:N44">SUM(D28:M28)</f>
        <v>466000</v>
      </c>
    </row>
    <row r="29" spans="1:14" s="21" customFormat="1" ht="12" customHeight="1">
      <c r="A29" s="63" t="s">
        <v>22</v>
      </c>
      <c r="B29" s="64" t="s">
        <v>54</v>
      </c>
      <c r="C29" s="65" t="s">
        <v>30</v>
      </c>
      <c r="D29" s="66"/>
      <c r="E29" s="66">
        <v>30000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f t="shared" si="6"/>
        <v>30000</v>
      </c>
    </row>
    <row r="30" spans="1:14" s="21" customFormat="1" ht="12" customHeight="1">
      <c r="A30" s="63"/>
      <c r="B30" s="5" t="s">
        <v>61</v>
      </c>
      <c r="C30" s="65" t="s">
        <v>30</v>
      </c>
      <c r="D30" s="66"/>
      <c r="E30" s="66"/>
      <c r="F30" s="66"/>
      <c r="G30" s="6">
        <f>45000+((11+6)*2700*1.5)</f>
        <v>113850</v>
      </c>
      <c r="H30" s="66"/>
      <c r="I30" s="66"/>
      <c r="J30" s="66"/>
      <c r="K30" s="66"/>
      <c r="L30" s="66"/>
      <c r="M30" s="66"/>
      <c r="N30" s="67">
        <f t="shared" si="6"/>
        <v>113850</v>
      </c>
    </row>
    <row r="31" spans="1:14" s="20" customFormat="1" ht="12" customHeight="1">
      <c r="A31" s="76" t="s">
        <v>62</v>
      </c>
      <c r="B31" s="77" t="s">
        <v>43</v>
      </c>
      <c r="C31" s="35">
        <v>4</v>
      </c>
      <c r="D31" s="34">
        <v>0</v>
      </c>
      <c r="E31" s="34">
        <v>0</v>
      </c>
      <c r="G31" s="34"/>
      <c r="H31" s="84">
        <f>66*70000*0.3333</f>
        <v>1539846</v>
      </c>
      <c r="I31" s="84">
        <f>66*70000*0.6666</f>
        <v>3079692</v>
      </c>
      <c r="J31" s="34">
        <v>0</v>
      </c>
      <c r="K31" s="34">
        <v>0</v>
      </c>
      <c r="L31" s="34">
        <v>0</v>
      </c>
      <c r="M31" s="34"/>
      <c r="N31" s="67">
        <f t="shared" si="6"/>
        <v>4619538</v>
      </c>
    </row>
    <row r="32" spans="1:14" s="20" customFormat="1" ht="12" customHeight="1">
      <c r="A32" s="76" t="s">
        <v>14</v>
      </c>
      <c r="B32" s="41" t="s">
        <v>47</v>
      </c>
      <c r="C32" s="42">
        <v>5</v>
      </c>
      <c r="D32" s="69"/>
      <c r="E32" s="69"/>
      <c r="G32" s="39">
        <f>(390000+100000+15000+0)</f>
        <v>505000</v>
      </c>
      <c r="H32" s="69"/>
      <c r="I32" s="69"/>
      <c r="J32" s="69"/>
      <c r="K32" s="69"/>
      <c r="L32" s="69"/>
      <c r="M32" s="69"/>
      <c r="N32" s="67">
        <f t="shared" si="6"/>
        <v>505000</v>
      </c>
    </row>
    <row r="33" spans="1:14" s="20" customFormat="1" ht="12" customHeight="1" thickBot="1">
      <c r="A33" s="36"/>
      <c r="B33" s="37" t="s">
        <v>76</v>
      </c>
      <c r="C33" s="68">
        <v>3</v>
      </c>
      <c r="D33" s="69">
        <v>15000</v>
      </c>
      <c r="E33" s="69">
        <v>80000</v>
      </c>
      <c r="F33" s="39"/>
      <c r="H33" s="69">
        <v>20000</v>
      </c>
      <c r="I33" s="69"/>
      <c r="J33" s="69"/>
      <c r="K33" s="69">
        <v>20000</v>
      </c>
      <c r="L33" s="69"/>
      <c r="M33" s="69"/>
      <c r="N33" s="67">
        <f t="shared" si="6"/>
        <v>135000</v>
      </c>
    </row>
    <row r="34" spans="1:14" s="20" customFormat="1" ht="12" customHeight="1" thickBot="1">
      <c r="A34" s="8" t="s">
        <v>24</v>
      </c>
      <c r="B34" s="9" t="s">
        <v>25</v>
      </c>
      <c r="C34" s="10"/>
      <c r="D34" s="11">
        <f>SUM(D35:D39)</f>
        <v>140000</v>
      </c>
      <c r="E34" s="11">
        <f aca="true" t="shared" si="7" ref="E34:M34">SUM(E35:E39)</f>
        <v>100000</v>
      </c>
      <c r="F34" s="11">
        <f t="shared" si="7"/>
        <v>100000</v>
      </c>
      <c r="G34" s="11">
        <f t="shared" si="7"/>
        <v>128000</v>
      </c>
      <c r="H34" s="11">
        <f t="shared" si="7"/>
        <v>145000</v>
      </c>
      <c r="I34" s="11">
        <f t="shared" si="7"/>
        <v>100000</v>
      </c>
      <c r="J34" s="11">
        <f t="shared" si="7"/>
        <v>100000</v>
      </c>
      <c r="K34" s="11">
        <f t="shared" si="7"/>
        <v>100000</v>
      </c>
      <c r="L34" s="11">
        <f t="shared" si="7"/>
        <v>100000</v>
      </c>
      <c r="M34" s="11">
        <f t="shared" si="7"/>
        <v>100000</v>
      </c>
      <c r="N34" s="12">
        <f t="shared" si="6"/>
        <v>1113000</v>
      </c>
    </row>
    <row r="35" spans="1:14" s="20" customFormat="1" ht="12" customHeight="1">
      <c r="A35" s="36" t="s">
        <v>28</v>
      </c>
      <c r="B35" s="37" t="s">
        <v>37</v>
      </c>
      <c r="C35" s="38">
        <v>5</v>
      </c>
      <c r="D35" s="39">
        <v>0</v>
      </c>
      <c r="E35" s="39">
        <v>0</v>
      </c>
      <c r="F35" s="39">
        <v>0</v>
      </c>
      <c r="G35" s="39">
        <v>20000</v>
      </c>
      <c r="H35" s="39">
        <v>0</v>
      </c>
      <c r="I35" s="39">
        <v>0</v>
      </c>
      <c r="J35" s="39"/>
      <c r="K35" s="39">
        <v>0</v>
      </c>
      <c r="L35" s="39">
        <v>0</v>
      </c>
      <c r="M35" s="39">
        <v>0</v>
      </c>
      <c r="N35" s="40">
        <f t="shared" si="6"/>
        <v>20000</v>
      </c>
    </row>
    <row r="36" spans="1:14" s="20" customFormat="1" ht="12" customHeight="1">
      <c r="A36" s="70"/>
      <c r="B36" s="37" t="s">
        <v>45</v>
      </c>
      <c r="C36" s="38">
        <v>2</v>
      </c>
      <c r="D36" s="39">
        <v>20000</v>
      </c>
      <c r="E36" s="39"/>
      <c r="F36" s="39"/>
      <c r="G36" s="39"/>
      <c r="H36" s="39"/>
      <c r="I36" s="39"/>
      <c r="J36" s="39"/>
      <c r="K36" s="39"/>
      <c r="L36" s="39"/>
      <c r="M36" s="39"/>
      <c r="N36" s="40">
        <f t="shared" si="6"/>
        <v>20000</v>
      </c>
    </row>
    <row r="37" spans="1:14" s="20" customFormat="1" ht="12" customHeight="1">
      <c r="A37" s="41" t="s">
        <v>63</v>
      </c>
      <c r="B37" s="41" t="s">
        <v>64</v>
      </c>
      <c r="C37" s="42">
        <v>3</v>
      </c>
      <c r="D37" s="43">
        <v>20000</v>
      </c>
      <c r="E37" s="43"/>
      <c r="F37" s="43">
        <v>0</v>
      </c>
      <c r="G37" s="43">
        <v>0</v>
      </c>
      <c r="H37" s="43">
        <f>3*15000</f>
        <v>45000</v>
      </c>
      <c r="I37" s="43">
        <v>0</v>
      </c>
      <c r="J37" s="43">
        <v>0</v>
      </c>
      <c r="K37" s="43"/>
      <c r="L37" s="43">
        <v>0</v>
      </c>
      <c r="M37" s="43">
        <v>0</v>
      </c>
      <c r="N37" s="40">
        <f t="shared" si="6"/>
        <v>65000</v>
      </c>
    </row>
    <row r="38" spans="1:14" s="20" customFormat="1" ht="12" customHeight="1">
      <c r="A38" s="41" t="s">
        <v>14</v>
      </c>
      <c r="B38" s="41" t="s">
        <v>65</v>
      </c>
      <c r="C38" s="42">
        <v>3</v>
      </c>
      <c r="D38" s="43"/>
      <c r="E38" s="43"/>
      <c r="F38" s="43">
        <v>0</v>
      </c>
      <c r="G38" s="43">
        <v>8000</v>
      </c>
      <c r="H38" s="43"/>
      <c r="I38" s="43">
        <v>0</v>
      </c>
      <c r="J38" s="43">
        <v>0</v>
      </c>
      <c r="K38" s="43"/>
      <c r="L38" s="43">
        <v>0</v>
      </c>
      <c r="M38" s="43">
        <v>0</v>
      </c>
      <c r="N38" s="43">
        <f t="shared" si="6"/>
        <v>8000</v>
      </c>
    </row>
    <row r="39" spans="1:14" s="20" customFormat="1" ht="12" customHeight="1" thickBot="1">
      <c r="A39" s="70"/>
      <c r="B39" s="37" t="s">
        <v>77</v>
      </c>
      <c r="C39" s="38"/>
      <c r="D39" s="39">
        <v>100000</v>
      </c>
      <c r="E39" s="39">
        <v>100000</v>
      </c>
      <c r="F39" s="39">
        <v>100000</v>
      </c>
      <c r="G39" s="39">
        <v>100000</v>
      </c>
      <c r="H39" s="39">
        <v>100000</v>
      </c>
      <c r="I39" s="39">
        <v>100000</v>
      </c>
      <c r="J39" s="39">
        <v>100000</v>
      </c>
      <c r="K39" s="39">
        <v>100000</v>
      </c>
      <c r="L39" s="39">
        <v>100000</v>
      </c>
      <c r="M39" s="39">
        <v>100000</v>
      </c>
      <c r="N39" s="43">
        <f t="shared" si="6"/>
        <v>1000000</v>
      </c>
    </row>
    <row r="40" spans="1:14" s="20" customFormat="1" ht="12" customHeight="1" thickBot="1">
      <c r="A40" s="8" t="s">
        <v>15</v>
      </c>
      <c r="B40" s="85" t="s">
        <v>88</v>
      </c>
      <c r="C40" s="10"/>
      <c r="D40" s="86">
        <f>SUM(+D6+D11+D19+D24+D26+D34)*0.02</f>
        <v>20620</v>
      </c>
      <c r="E40" s="86">
        <f aca="true" t="shared" si="8" ref="E40:M40">SUM(+E6+E11+E19+E24+E26+E34)*0.02</f>
        <v>32956.8</v>
      </c>
      <c r="F40" s="86">
        <f t="shared" si="8"/>
        <v>2800</v>
      </c>
      <c r="G40" s="86">
        <f t="shared" si="8"/>
        <v>28868</v>
      </c>
      <c r="H40" s="86">
        <f t="shared" si="8"/>
        <v>44036.92</v>
      </c>
      <c r="I40" s="86">
        <f t="shared" si="8"/>
        <v>92341.84</v>
      </c>
      <c r="J40" s="86">
        <f t="shared" si="8"/>
        <v>4277</v>
      </c>
      <c r="K40" s="86">
        <f t="shared" si="8"/>
        <v>4740</v>
      </c>
      <c r="L40" s="86">
        <f t="shared" si="8"/>
        <v>11902</v>
      </c>
      <c r="M40" s="86">
        <f t="shared" si="8"/>
        <v>18844.8</v>
      </c>
      <c r="N40" s="43">
        <f t="shared" si="6"/>
        <v>261387.36</v>
      </c>
    </row>
    <row r="41" spans="1:14" s="20" customFormat="1" ht="12" customHeight="1" thickBot="1">
      <c r="A41" s="8" t="s">
        <v>18</v>
      </c>
      <c r="B41" s="9" t="s">
        <v>26</v>
      </c>
      <c r="C41" s="10"/>
      <c r="D41" s="11">
        <f>SUM(+D6+D11+D19+D24+D26+D34)*0.1</f>
        <v>103100</v>
      </c>
      <c r="E41" s="11">
        <f aca="true" t="shared" si="9" ref="E41:M41">SUM(+E6+E11+E19+E24+E26+E34)*0.1</f>
        <v>164784</v>
      </c>
      <c r="F41" s="11">
        <f t="shared" si="9"/>
        <v>14000</v>
      </c>
      <c r="G41" s="11">
        <f t="shared" si="9"/>
        <v>144340</v>
      </c>
      <c r="H41" s="11">
        <f t="shared" si="9"/>
        <v>220184.6</v>
      </c>
      <c r="I41" s="11">
        <f t="shared" si="9"/>
        <v>461709.2</v>
      </c>
      <c r="J41" s="11">
        <f t="shared" si="9"/>
        <v>21385</v>
      </c>
      <c r="K41" s="11">
        <f t="shared" si="9"/>
        <v>23700</v>
      </c>
      <c r="L41" s="11">
        <f t="shared" si="9"/>
        <v>59510</v>
      </c>
      <c r="M41" s="11">
        <f t="shared" si="9"/>
        <v>94224</v>
      </c>
      <c r="N41" s="12">
        <f t="shared" si="6"/>
        <v>1306936.8</v>
      </c>
    </row>
    <row r="42" spans="1:20" s="20" customFormat="1" ht="12" customHeight="1" thickBot="1">
      <c r="A42" s="8" t="s">
        <v>19</v>
      </c>
      <c r="B42" s="9" t="s">
        <v>85</v>
      </c>
      <c r="C42" s="10"/>
      <c r="D42" s="86">
        <f>(SUM(+D6+D11+D19+D24+D26+D34)*0.15)+25000+15000</f>
        <v>194650</v>
      </c>
      <c r="E42" s="86">
        <f>(SUM(+E6+E11+E19+E24+E26+E34)*0.15)+25000-15000</f>
        <v>257176</v>
      </c>
      <c r="F42" s="86">
        <f>(SUM(+F6+F11+F19+F24+F26+F34)*0.15)+25000</f>
        <v>46000</v>
      </c>
      <c r="G42" s="86">
        <f>(SUM(+G6+G11+G19+G24+G26+G34)*0.15)+25000</f>
        <v>241510</v>
      </c>
      <c r="H42" s="86">
        <f>(SUM(+H6+H11+H19+H24+H26+H34)*0.15)+25000+200000</f>
        <v>555276.8999999999</v>
      </c>
      <c r="I42" s="86">
        <f>(SUM(+I6+I11+I19+I24+I26+I34)*0.15)+25000-200000</f>
        <v>517563.79999999993</v>
      </c>
      <c r="J42" s="86">
        <f>(SUM(+J6+J11+J19+J24+J26+J34)*0.15)+25000</f>
        <v>57077.5</v>
      </c>
      <c r="K42" s="86">
        <f>(SUM(+K6+K11+K19+K24+K26+K34)*0.15)+25000</f>
        <v>60550</v>
      </c>
      <c r="L42" s="86">
        <f>(SUM(+L6+L11+L19+L24+L26+L34)*0.15)+25000</f>
        <v>114265</v>
      </c>
      <c r="M42" s="86">
        <f>(SUM(+M6+M11+M19+M24+M26+M34)*0.15)+25000</f>
        <v>166336</v>
      </c>
      <c r="N42" s="43">
        <f t="shared" si="6"/>
        <v>2210405.1999999997</v>
      </c>
      <c r="P42" s="82" t="s">
        <v>82</v>
      </c>
      <c r="Q42" s="82"/>
      <c r="R42" s="82"/>
      <c r="S42" s="82"/>
      <c r="T42" s="82"/>
    </row>
    <row r="43" spans="1:20" s="20" customFormat="1" ht="12" customHeight="1" thickBot="1">
      <c r="A43" s="8" t="s">
        <v>18</v>
      </c>
      <c r="B43" s="9" t="s">
        <v>16</v>
      </c>
      <c r="C43" s="10"/>
      <c r="D43" s="11">
        <v>100000</v>
      </c>
      <c r="E43" s="11">
        <v>100000</v>
      </c>
      <c r="F43" s="11">
        <v>100000</v>
      </c>
      <c r="G43" s="11">
        <v>100000</v>
      </c>
      <c r="H43" s="11">
        <v>100000</v>
      </c>
      <c r="I43" s="11">
        <v>100000</v>
      </c>
      <c r="J43" s="11">
        <v>100000</v>
      </c>
      <c r="K43" s="11">
        <v>100000</v>
      </c>
      <c r="L43" s="11">
        <v>100000</v>
      </c>
      <c r="M43" s="11">
        <v>100000</v>
      </c>
      <c r="N43" s="12">
        <f t="shared" si="6"/>
        <v>1000000</v>
      </c>
      <c r="P43" s="82" t="s">
        <v>89</v>
      </c>
      <c r="Q43" s="82"/>
      <c r="R43" s="82"/>
      <c r="S43" s="82"/>
      <c r="T43" s="82"/>
    </row>
    <row r="44" spans="1:14" s="20" customFormat="1" ht="12" customHeight="1" thickBot="1">
      <c r="A44" s="18" t="s">
        <v>19</v>
      </c>
      <c r="B44" s="15" t="s">
        <v>20</v>
      </c>
      <c r="C44" s="19" t="s">
        <v>13</v>
      </c>
      <c r="D44" s="16">
        <f>SUM(D42+D41+D40+D34+D26+D24+D19+D11+D6+D43)*0.25</f>
        <v>362342.5</v>
      </c>
      <c r="E44" s="16">
        <f aca="true" t="shared" si="10" ref="E44:M44">SUM(E42+E41+E40+E34+E26+E24+E19+E11+E6+E43)*0.25</f>
        <v>550689.2</v>
      </c>
      <c r="F44" s="16">
        <f>SUM(F42+F41+F40+F34+F26+F24+F19+F11+F6+F43)*0.25</f>
        <v>75700</v>
      </c>
      <c r="G44" s="16">
        <f t="shared" si="10"/>
        <v>489529.5</v>
      </c>
      <c r="H44" s="16">
        <f>SUM(H42+H41+H40+H34+H26+H24+H19+H11+H6+H43)*0.25</f>
        <v>780336.105</v>
      </c>
      <c r="I44" s="16">
        <f>SUM(I42+I41+I40+I34+I26+I24+I19+I11+I6+I43)*0.25</f>
        <v>1447176.71</v>
      </c>
      <c r="J44" s="16">
        <f t="shared" si="10"/>
        <v>99147.375</v>
      </c>
      <c r="K44" s="16">
        <f t="shared" si="10"/>
        <v>106497.5</v>
      </c>
      <c r="L44" s="16">
        <f t="shared" si="10"/>
        <v>220194.25</v>
      </c>
      <c r="M44" s="16">
        <f t="shared" si="10"/>
        <v>330411.2</v>
      </c>
      <c r="N44" s="17">
        <f t="shared" si="6"/>
        <v>4462024.34</v>
      </c>
    </row>
    <row r="45" spans="1:18" s="20" customFormat="1" ht="12" customHeight="1" thickBot="1">
      <c r="A45" s="80" t="s">
        <v>72</v>
      </c>
      <c r="B45" s="24" t="s">
        <v>21</v>
      </c>
      <c r="C45" s="7"/>
      <c r="D45" s="3">
        <f aca="true" t="shared" si="11" ref="D45:M45">SUM(+D6+D11+D19+D24+D26+D40+D41+D42+D43+D44+D34)</f>
        <v>1811712.5</v>
      </c>
      <c r="E45" s="3">
        <f t="shared" si="11"/>
        <v>2753446</v>
      </c>
      <c r="F45" s="3">
        <f t="shared" si="11"/>
        <v>378500</v>
      </c>
      <c r="G45" s="3">
        <f t="shared" si="11"/>
        <v>2447647.5</v>
      </c>
      <c r="H45" s="3">
        <f t="shared" si="11"/>
        <v>3901680.525</v>
      </c>
      <c r="I45" s="3">
        <f t="shared" si="11"/>
        <v>7235883.55</v>
      </c>
      <c r="J45" s="3">
        <f t="shared" si="11"/>
        <v>495736.875</v>
      </c>
      <c r="K45" s="3">
        <f t="shared" si="11"/>
        <v>532487.5</v>
      </c>
      <c r="L45" s="3">
        <f t="shared" si="11"/>
        <v>1100971.25</v>
      </c>
      <c r="M45" s="3">
        <f t="shared" si="11"/>
        <v>1652056</v>
      </c>
      <c r="N45" s="3">
        <f>SUM(+N6+N11+N19+N26+N40+N41+N42+N43+N44+N34)</f>
        <v>22310121.7</v>
      </c>
      <c r="R45" s="23"/>
    </row>
    <row r="46" spans="1:14" s="20" customFormat="1" ht="12" customHeight="1" thickBot="1">
      <c r="A46" s="80" t="s">
        <v>73</v>
      </c>
      <c r="B46" s="24" t="s">
        <v>70</v>
      </c>
      <c r="C46" s="7"/>
      <c r="D46" s="3">
        <v>-800000</v>
      </c>
      <c r="E46" s="3">
        <v>-800000</v>
      </c>
      <c r="F46" s="3">
        <v>-800000</v>
      </c>
      <c r="G46" s="3">
        <v>-800000</v>
      </c>
      <c r="H46" s="3">
        <v>-800000</v>
      </c>
      <c r="I46" s="3">
        <v>-800000</v>
      </c>
      <c r="J46" s="3">
        <v>-800000</v>
      </c>
      <c r="K46" s="3">
        <v>-800000</v>
      </c>
      <c r="L46" s="3">
        <v>-800000</v>
      </c>
      <c r="M46" s="3">
        <v>-800000</v>
      </c>
      <c r="N46" s="3">
        <f>SUM(D46:M46)</f>
        <v>-8000000</v>
      </c>
    </row>
    <row r="47" spans="1:14" s="20" customFormat="1" ht="12" customHeight="1" thickBot="1">
      <c r="A47" s="80" t="s">
        <v>74</v>
      </c>
      <c r="B47" s="24" t="s">
        <v>71</v>
      </c>
      <c r="C47" s="48"/>
      <c r="D47" s="3">
        <f>SUM(D45:D46)</f>
        <v>1011712.5</v>
      </c>
      <c r="E47" s="3">
        <f aca="true" t="shared" si="12" ref="E47:N47">SUM(E45:E46)</f>
        <v>1953446</v>
      </c>
      <c r="F47" s="3">
        <f t="shared" si="12"/>
        <v>-421500</v>
      </c>
      <c r="G47" s="3">
        <f t="shared" si="12"/>
        <v>1647647.5</v>
      </c>
      <c r="H47" s="3">
        <f t="shared" si="12"/>
        <v>3101680.525</v>
      </c>
      <c r="I47" s="3">
        <f t="shared" si="12"/>
        <v>6435883.55</v>
      </c>
      <c r="J47" s="3">
        <f t="shared" si="12"/>
        <v>-304263.125</v>
      </c>
      <c r="K47" s="3">
        <f t="shared" si="12"/>
        <v>-267512.5</v>
      </c>
      <c r="L47" s="3">
        <f t="shared" si="12"/>
        <v>300971.25</v>
      </c>
      <c r="M47" s="3">
        <f t="shared" si="12"/>
        <v>852056</v>
      </c>
      <c r="N47" s="3">
        <f t="shared" si="12"/>
        <v>14310121.7</v>
      </c>
    </row>
    <row r="48" spans="1:14" s="20" customFormat="1" ht="12" customHeight="1">
      <c r="A48" s="22"/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20" customFormat="1" ht="12" customHeight="1">
      <c r="A49" s="92" t="s">
        <v>84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s="20" customFormat="1" ht="12" customHeight="1">
      <c r="A50" s="93" t="s">
        <v>32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62"/>
      <c r="M50" s="62"/>
      <c r="N50" s="62"/>
    </row>
    <row r="51" spans="1:14" s="20" customFormat="1" ht="12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s="20" customFormat="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0" s="20" customFormat="1" ht="12" customHeight="1">
      <c r="A53" s="79" t="s">
        <v>80</v>
      </c>
      <c r="B53" s="79"/>
      <c r="C53" s="79" t="s">
        <v>78</v>
      </c>
      <c r="D53" s="87">
        <f>D47+E47+F47+G47+H47</f>
        <v>7292986.525</v>
      </c>
      <c r="E53" s="1"/>
      <c r="F53" s="1"/>
      <c r="G53" s="1"/>
      <c r="H53" s="1"/>
      <c r="I53" s="1"/>
      <c r="J53" s="1"/>
    </row>
    <row r="54" spans="1:4" s="20" customFormat="1" ht="12.75">
      <c r="A54" s="79" t="s">
        <v>80</v>
      </c>
      <c r="B54" s="82"/>
      <c r="C54" s="79" t="s">
        <v>79</v>
      </c>
      <c r="D54" s="88">
        <f>I47+J47+K47+L47+M47</f>
        <v>7017135.175</v>
      </c>
    </row>
    <row r="55" spans="1:4" ht="12.75">
      <c r="A55" s="79" t="s">
        <v>83</v>
      </c>
      <c r="B55" s="79"/>
      <c r="C55" s="79" t="s">
        <v>78</v>
      </c>
      <c r="D55" s="87">
        <f>D45+E45+F45+G45+H45</f>
        <v>11292986.525</v>
      </c>
    </row>
    <row r="56" spans="1:4" ht="12.75">
      <c r="A56" s="79" t="s">
        <v>81</v>
      </c>
      <c r="B56" s="82"/>
      <c r="C56" s="79" t="s">
        <v>79</v>
      </c>
      <c r="D56" s="88">
        <f>I45+J45+K45+L45+M45</f>
        <v>11017135.175</v>
      </c>
    </row>
  </sheetData>
  <sheetProtection/>
  <mergeCells count="4">
    <mergeCell ref="M1:N1"/>
    <mergeCell ref="M2:N2"/>
    <mergeCell ref="A49:N49"/>
    <mergeCell ref="A50:K50"/>
  </mergeCells>
  <printOptions/>
  <pageMargins left="0.25" right="0.25" top="0.75" bottom="0.75" header="0.3" footer="0.3"/>
  <pageSetup fitToHeight="0" fitToWidth="1" horizontalDpi="600" verticalDpi="600" orientation="landscape" paperSize="8" scale="79"/>
  <rowBreaks count="1" manualBreakCount="1">
    <brk id="57" max="9" man="1"/>
  </rowBreaks>
  <colBreaks count="1" manualBreakCount="1">
    <brk id="1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Eibye &amp; Holmsgaard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Alm</dc:creator>
  <cp:keywords/>
  <dc:description/>
  <cp:lastModifiedBy>Microsoft Office User</cp:lastModifiedBy>
  <cp:lastPrinted>2023-03-17T05:56:32Z</cp:lastPrinted>
  <dcterms:created xsi:type="dcterms:W3CDTF">2004-11-17T10:26:57Z</dcterms:created>
  <dcterms:modified xsi:type="dcterms:W3CDTF">2023-03-25T17:28:43Z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0x0101002A9F69F46A70024EA49369944CD8E36D</vt:lpwstr>
  </property>
</Properties>
</file>